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'Hoja1'!$A$1:$AF$160</definedName>
  </definedNames>
  <calcPr fullCalcOnLoad="1"/>
</workbook>
</file>

<file path=xl/comments1.xml><?xml version="1.0" encoding="utf-8"?>
<comments xmlns="http://schemas.openxmlformats.org/spreadsheetml/2006/main">
  <authors>
    <author>joel santos rizo</author>
  </authors>
  <commentList>
    <comment ref="I22" authorId="0">
      <text>
        <r>
          <rPr>
            <b/>
            <sz val="10"/>
            <rFont val="Arial"/>
            <family val="2"/>
          </rPr>
          <t>Carga Factorizada
como Carga Muerta
= 1.4* P</t>
        </r>
        <r>
          <rPr>
            <sz val="10"/>
            <rFont val="Arial"/>
            <family val="2"/>
          </rPr>
          <t xml:space="preserve">
</t>
        </r>
      </text>
    </comment>
    <comment ref="M28" authorId="0">
      <text>
        <r>
          <rPr>
            <sz val="10"/>
            <rFont val="Arial"/>
            <family val="2"/>
          </rPr>
          <t>Peso Del Pedestal</t>
        </r>
      </text>
    </comment>
    <comment ref="W30" authorId="0">
      <text>
        <r>
          <rPr>
            <sz val="10"/>
            <rFont val="Arial"/>
            <family val="2"/>
          </rPr>
          <t>% Propuesto de la Reaccion del Terreno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sz val="10"/>
            <rFont val="Arial"/>
            <family val="2"/>
          </rPr>
          <t>Carga Factorizada + 
Peso del Pedestal</t>
        </r>
        <r>
          <rPr>
            <sz val="8"/>
            <rFont val="Tahoma"/>
            <family val="0"/>
          </rPr>
          <t xml:space="preserve">
</t>
        </r>
      </text>
    </comment>
    <comment ref="M37" authorId="0">
      <text>
        <r>
          <rPr>
            <sz val="10"/>
            <rFont val="Arial"/>
            <family val="2"/>
          </rPr>
          <t>Carga  que Resiste El Terreno</t>
        </r>
      </text>
    </comment>
    <comment ref="S42" authorId="0">
      <text>
        <r>
          <rPr>
            <sz val="10"/>
            <rFont val="Arial"/>
            <family val="2"/>
          </rPr>
          <t>Dimension del Lado de la Zapata Cuadrada</t>
        </r>
      </text>
    </comment>
  </commentList>
</comments>
</file>

<file path=xl/sharedStrings.xml><?xml version="1.0" encoding="utf-8"?>
<sst xmlns="http://schemas.openxmlformats.org/spreadsheetml/2006/main" count="255" uniqueCount="143">
  <si>
    <t>DISEÑO DE ZAPATA CON CARGA PUNTUAL</t>
  </si>
  <si>
    <t>Diseño de una zapata cuadrada para recibir una columna "C" con una carga "P".</t>
  </si>
  <si>
    <t>f'c =</t>
  </si>
  <si>
    <t>fy =</t>
  </si>
  <si>
    <t>Fc =</t>
  </si>
  <si>
    <r>
      <t>R</t>
    </r>
    <r>
      <rPr>
        <sz val="6"/>
        <rFont val="Arial"/>
        <family val="2"/>
      </rPr>
      <t>T</t>
    </r>
    <r>
      <rPr>
        <sz val="10"/>
        <rFont val="Arial"/>
        <family val="0"/>
      </rPr>
      <t xml:space="preserve"> =</t>
    </r>
  </si>
  <si>
    <t>kg/cm2</t>
  </si>
  <si>
    <r>
      <t>R</t>
    </r>
    <r>
      <rPr>
        <sz val="6"/>
        <rFont val="Arial"/>
        <family val="2"/>
      </rPr>
      <t>T</t>
    </r>
    <r>
      <rPr>
        <sz val="10"/>
        <rFont val="Arial"/>
        <family val="0"/>
      </rPr>
      <t xml:space="preserve"> = Resistencia Permisible del Terreno</t>
    </r>
  </si>
  <si>
    <t>h = ?</t>
  </si>
  <si>
    <t>d = ?</t>
  </si>
  <si>
    <t>x</t>
  </si>
  <si>
    <t>cm</t>
  </si>
  <si>
    <t>=</t>
  </si>
  <si>
    <t>Pedestal( b ) =</t>
  </si>
  <si>
    <t>P =</t>
  </si>
  <si>
    <t>Pu = Fc * P</t>
  </si>
  <si>
    <t>Ton =</t>
  </si>
  <si>
    <t>kg</t>
  </si>
  <si>
    <t>2. Obtencion del Ancho de la Zapata ( x ):</t>
  </si>
  <si>
    <t>1. Obtencion de Carga Amplificada ( Pu ):</t>
  </si>
  <si>
    <t>Peso del Pedestal de la Zapata (b)</t>
  </si>
  <si>
    <t>Wb =</t>
  </si>
  <si>
    <t>b¨2</t>
  </si>
  <si>
    <t>m</t>
  </si>
  <si>
    <t>Re =</t>
  </si>
  <si>
    <t xml:space="preserve">Az = </t>
  </si>
  <si>
    <t>Rn</t>
  </si>
  <si>
    <r>
      <t xml:space="preserve">[   </t>
    </r>
    <r>
      <rPr>
        <u val="single"/>
        <sz val="10"/>
        <rFont val="Arial"/>
        <family val="2"/>
      </rPr>
      <t xml:space="preserve">  Pu + Wb </t>
    </r>
    <r>
      <rPr>
        <sz val="10"/>
        <rFont val="Arial"/>
        <family val="0"/>
      </rPr>
      <t xml:space="preserve">   ]</t>
    </r>
  </si>
  <si>
    <t>Rn =</t>
  </si>
  <si>
    <t>rt =</t>
  </si>
  <si>
    <r>
      <t>R</t>
    </r>
    <r>
      <rPr>
        <sz val="6"/>
        <rFont val="Arial"/>
        <family val="2"/>
      </rPr>
      <t>T</t>
    </r>
    <r>
      <rPr>
        <sz val="10"/>
        <rFont val="Arial"/>
        <family val="0"/>
      </rPr>
      <t xml:space="preserve"> - (rt)</t>
    </r>
  </si>
  <si>
    <t xml:space="preserve">Para el peso de la zapata estimamos la reaccion del terreno ( rt ) = </t>
  </si>
  <si>
    <t>%</t>
  </si>
  <si>
    <r>
      <t>de R</t>
    </r>
    <r>
      <rPr>
        <sz val="6"/>
        <rFont val="Arial"/>
        <family val="2"/>
      </rPr>
      <t>T</t>
    </r>
  </si>
  <si>
    <t>-</t>
  </si>
  <si>
    <t>*</t>
  </si>
  <si>
    <t>Az =</t>
  </si>
  <si>
    <t>m2</t>
  </si>
  <si>
    <t>Como a1 = a2 =</t>
  </si>
  <si>
    <t>Ö</t>
  </si>
  <si>
    <t>Az = a1 x a2</t>
  </si>
  <si>
    <t>x =</t>
  </si>
  <si>
    <r>
      <t xml:space="preserve">( </t>
    </r>
    <r>
      <rPr>
        <u val="single"/>
        <sz val="10"/>
        <rFont val="Arial"/>
        <family val="2"/>
      </rPr>
      <t>a - b</t>
    </r>
    <r>
      <rPr>
        <sz val="10"/>
        <rFont val="Arial"/>
        <family val="0"/>
      </rPr>
      <t xml:space="preserve"> ) </t>
    </r>
  </si>
  <si>
    <t>s =</t>
  </si>
  <si>
    <t>s1</t>
  </si>
  <si>
    <t>3. Obtencion del Momento de Flexion:</t>
  </si>
  <si>
    <t>M =</t>
  </si>
  <si>
    <t>x¨2</t>
  </si>
  <si>
    <t>a</t>
  </si>
  <si>
    <t>kg/cm</t>
  </si>
  <si>
    <t>4. Calcular el Peralte de Flexion:</t>
  </si>
  <si>
    <t xml:space="preserve">Mr = </t>
  </si>
  <si>
    <r>
      <t>F</t>
    </r>
    <r>
      <rPr>
        <sz val="6"/>
        <rFont val="Arial"/>
        <family val="2"/>
      </rPr>
      <t>R</t>
    </r>
    <r>
      <rPr>
        <sz val="10"/>
        <rFont val="Arial"/>
        <family val="0"/>
      </rPr>
      <t xml:space="preserve"> * b * d¨2 * f'c * 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* (1 - 0.59</t>
    </r>
    <r>
      <rPr>
        <sz val="10"/>
        <rFont val="Symbol"/>
        <family val="1"/>
      </rPr>
      <t>g</t>
    </r>
    <r>
      <rPr>
        <sz val="10"/>
        <rFont val="Arial"/>
        <family val="0"/>
      </rPr>
      <t>)</t>
    </r>
  </si>
  <si>
    <r>
      <t>g</t>
    </r>
    <r>
      <rPr>
        <sz val="10"/>
        <rFont val="Arial"/>
        <family val="0"/>
      </rPr>
      <t xml:space="preserve"> = </t>
    </r>
  </si>
  <si>
    <t>f'c</t>
  </si>
  <si>
    <r>
      <t>r</t>
    </r>
    <r>
      <rPr>
        <sz val="10"/>
        <rFont val="Arial"/>
        <family val="0"/>
      </rPr>
      <t xml:space="preserve"> *  fy</t>
    </r>
  </si>
  <si>
    <r>
      <t>r</t>
    </r>
    <r>
      <rPr>
        <sz val="10"/>
        <rFont val="Arial"/>
        <family val="0"/>
      </rPr>
      <t xml:space="preserve"> =</t>
    </r>
  </si>
  <si>
    <r>
      <t>r</t>
    </r>
    <r>
      <rPr>
        <sz val="10"/>
        <rFont val="Arial"/>
        <family val="0"/>
      </rPr>
      <t>b=</t>
    </r>
  </si>
  <si>
    <t>fy</t>
  </si>
  <si>
    <t>0.85 * f'c</t>
  </si>
  <si>
    <t>fy + 6000</t>
  </si>
  <si>
    <r>
      <t>r</t>
    </r>
    <r>
      <rPr>
        <sz val="10"/>
        <rFont val="Arial"/>
        <family val="0"/>
      </rPr>
      <t xml:space="preserve"> = debe estar comprendido entre un mínimo y un maximo</t>
    </r>
  </si>
  <si>
    <t>14 / fy</t>
  </si>
  <si>
    <r>
      <t>r</t>
    </r>
    <r>
      <rPr>
        <sz val="6"/>
        <rFont val="Arial"/>
        <family val="2"/>
      </rPr>
      <t>min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=</t>
    </r>
  </si>
  <si>
    <r>
      <t>r</t>
    </r>
    <r>
      <rPr>
        <sz val="10"/>
        <rFont val="Arial"/>
        <family val="0"/>
      </rPr>
      <t>b</t>
    </r>
  </si>
  <si>
    <r>
      <t>r</t>
    </r>
    <r>
      <rPr>
        <sz val="6"/>
        <rFont val="Arial"/>
        <family val="2"/>
      </rPr>
      <t xml:space="preserve">min </t>
    </r>
    <r>
      <rPr>
        <sz val="10"/>
        <rFont val="Arial"/>
        <family val="2"/>
      </rPr>
      <t>]</t>
    </r>
  </si>
  <si>
    <r>
      <t>[</t>
    </r>
    <r>
      <rPr>
        <sz val="10"/>
        <rFont val="Symbol"/>
        <family val="1"/>
      </rPr>
      <t>r</t>
    </r>
    <r>
      <rPr>
        <sz val="10"/>
        <rFont val="Arial"/>
        <family val="0"/>
      </rPr>
      <t>b</t>
    </r>
  </si>
  <si>
    <t>d¨2 =</t>
  </si>
  <si>
    <r>
      <t>M</t>
    </r>
    <r>
      <rPr>
        <sz val="6"/>
        <rFont val="Arial"/>
        <family val="2"/>
      </rPr>
      <t>R</t>
    </r>
    <r>
      <rPr>
        <sz val="10"/>
        <rFont val="Arial"/>
        <family val="0"/>
      </rPr>
      <t xml:space="preserve"> </t>
    </r>
  </si>
  <si>
    <t>cm2</t>
  </si>
  <si>
    <r>
      <t xml:space="preserve">FR * b * f'c * 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* (1 - 0.59</t>
    </r>
    <r>
      <rPr>
        <sz val="10"/>
        <rFont val="Symbol"/>
        <family val="1"/>
      </rPr>
      <t>g</t>
    </r>
    <r>
      <rPr>
        <sz val="10"/>
        <rFont val="Arial"/>
        <family val="0"/>
      </rPr>
      <t>)</t>
    </r>
  </si>
  <si>
    <t>d =</t>
  </si>
  <si>
    <t>Área afectada por el cortante</t>
  </si>
  <si>
    <t>A =</t>
  </si>
  <si>
    <t>a + dv</t>
  </si>
  <si>
    <t>dv =</t>
  </si>
  <si>
    <t>b + d</t>
  </si>
  <si>
    <r>
      <t>* (</t>
    </r>
    <r>
      <rPr>
        <u val="single"/>
        <sz val="10"/>
        <rFont val="Arial"/>
        <family val="2"/>
      </rPr>
      <t>a - dv</t>
    </r>
    <r>
      <rPr>
        <sz val="10"/>
        <rFont val="Arial"/>
        <family val="0"/>
      </rPr>
      <t>)</t>
    </r>
  </si>
  <si>
    <r>
      <t>V</t>
    </r>
    <r>
      <rPr>
        <sz val="6"/>
        <rFont val="Arial"/>
        <family val="2"/>
      </rPr>
      <t>max</t>
    </r>
    <r>
      <rPr>
        <sz val="10"/>
        <rFont val="Arial"/>
        <family val="0"/>
      </rPr>
      <t xml:space="preserve"> =</t>
    </r>
  </si>
  <si>
    <t>Rn * A</t>
  </si>
  <si>
    <r>
      <t>u</t>
    </r>
    <r>
      <rPr>
        <sz val="6"/>
        <rFont val="Arial"/>
        <family val="2"/>
      </rPr>
      <t>u</t>
    </r>
    <r>
      <rPr>
        <sz val="10"/>
        <rFont val="Arial"/>
        <family val="0"/>
      </rPr>
      <t xml:space="preserve"> =</t>
    </r>
  </si>
  <si>
    <r>
      <t>V</t>
    </r>
    <r>
      <rPr>
        <sz val="6"/>
        <rFont val="Arial"/>
        <family val="2"/>
      </rPr>
      <t>max</t>
    </r>
  </si>
  <si>
    <t>0.8 * dv * d</t>
  </si>
  <si>
    <r>
      <t>u</t>
    </r>
    <r>
      <rPr>
        <sz val="6"/>
        <rFont val="Arial"/>
        <family val="2"/>
      </rPr>
      <t>u</t>
    </r>
  </si>
  <si>
    <t>&lt;</t>
  </si>
  <si>
    <t>&gt;</t>
  </si>
  <si>
    <t>f'c*</t>
  </si>
  <si>
    <t>f'c* =</t>
  </si>
  <si>
    <t>0.8 * f'c</t>
  </si>
  <si>
    <t>y</t>
  </si>
  <si>
    <r>
      <t>F</t>
    </r>
    <r>
      <rPr>
        <sz val="6"/>
        <rFont val="Arial"/>
        <family val="2"/>
      </rPr>
      <t>R</t>
    </r>
    <r>
      <rPr>
        <sz val="10"/>
        <rFont val="Arial"/>
        <family val="0"/>
      </rPr>
      <t xml:space="preserve"> = 0.8</t>
    </r>
  </si>
  <si>
    <r>
      <t>F</t>
    </r>
    <r>
      <rPr>
        <sz val="6"/>
        <rFont val="Arial"/>
        <family val="2"/>
      </rPr>
      <t>R</t>
    </r>
    <r>
      <rPr>
        <sz val="10"/>
        <rFont val="Arial"/>
        <family val="0"/>
      </rPr>
      <t xml:space="preserve"> </t>
    </r>
  </si>
  <si>
    <t>y como debe ser</t>
  </si>
  <si>
    <r>
      <t>Se deberá incrementar el valor de "d" y el nuevo peralte valdra V</t>
    </r>
    <r>
      <rPr>
        <sz val="10"/>
        <rFont val="Symbol"/>
        <family val="1"/>
      </rPr>
      <t>u</t>
    </r>
    <r>
      <rPr>
        <sz val="10"/>
        <rFont val="Arial"/>
        <family val="0"/>
      </rPr>
      <t xml:space="preserve"> </t>
    </r>
  </si>
  <si>
    <r>
      <t>d</t>
    </r>
    <r>
      <rPr>
        <sz val="10"/>
        <rFont val="Symbol"/>
        <family val="1"/>
      </rPr>
      <t>u</t>
    </r>
    <r>
      <rPr>
        <sz val="10"/>
        <rFont val="Arial"/>
        <family val="0"/>
      </rPr>
      <t xml:space="preserve"> =</t>
    </r>
  </si>
  <si>
    <r>
      <t>F</t>
    </r>
    <r>
      <rPr>
        <sz val="6"/>
        <rFont val="Arial"/>
        <family val="2"/>
      </rPr>
      <t>R</t>
    </r>
    <r>
      <rPr>
        <sz val="10"/>
        <rFont val="Arial"/>
        <family val="0"/>
      </rPr>
      <t xml:space="preserve"> * dv * </t>
    </r>
    <r>
      <rPr>
        <sz val="10"/>
        <rFont val="Symbol"/>
        <family val="1"/>
      </rPr>
      <t>u</t>
    </r>
    <r>
      <rPr>
        <sz val="8"/>
        <rFont val="Arial"/>
        <family val="2"/>
      </rPr>
      <t>u</t>
    </r>
    <r>
      <rPr>
        <sz val="10"/>
        <rFont val="Arial"/>
        <family val="0"/>
      </rPr>
      <t xml:space="preserve"> </t>
    </r>
  </si>
  <si>
    <t>dv = Distancia de corte</t>
  </si>
  <si>
    <t>Pu + Wb =</t>
  </si>
  <si>
    <t>Pu + Wb</t>
  </si>
  <si>
    <r>
      <t>u</t>
    </r>
    <r>
      <rPr>
        <sz val="10"/>
        <rFont val="Arial"/>
        <family val="0"/>
      </rPr>
      <t>u</t>
    </r>
  </si>
  <si>
    <r>
      <t>b</t>
    </r>
    <r>
      <rPr>
        <sz val="8"/>
        <rFont val="Arial"/>
        <family val="2"/>
      </rPr>
      <t>o</t>
    </r>
    <r>
      <rPr>
        <sz val="10"/>
        <rFont val="Arial"/>
        <family val="0"/>
      </rPr>
      <t>d =</t>
    </r>
  </si>
  <si>
    <t>d¨2</t>
  </si>
  <si>
    <t>+</t>
  </si>
  <si>
    <t>d</t>
  </si>
  <si>
    <r>
      <t>b</t>
    </r>
    <r>
      <rPr>
        <sz val="8"/>
        <rFont val="Arial"/>
        <family val="2"/>
      </rPr>
      <t>o</t>
    </r>
    <r>
      <rPr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</si>
  <si>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r>
      <t>d</t>
    </r>
    <r>
      <rPr>
        <sz val="7"/>
        <rFont val="Arial"/>
        <family val="2"/>
      </rPr>
      <t>p</t>
    </r>
    <r>
      <rPr>
        <sz val="10"/>
        <rFont val="Arial"/>
        <family val="0"/>
      </rPr>
      <t xml:space="preserve"> =</t>
    </r>
  </si>
  <si>
    <t>¨2</t>
  </si>
  <si>
    <t>Ö(</t>
  </si>
  <si>
    <t>)</t>
  </si>
  <si>
    <t xml:space="preserve">)- </t>
  </si>
  <si>
    <t>(</t>
  </si>
  <si>
    <r>
      <t>Comparando d</t>
    </r>
    <r>
      <rPr>
        <sz val="8"/>
        <rFont val="Arial"/>
        <family val="2"/>
      </rPr>
      <t>u</t>
    </r>
    <r>
      <rPr>
        <sz val="10"/>
        <rFont val="Arial"/>
        <family val="0"/>
      </rPr>
      <t xml:space="preserve"> contra d</t>
    </r>
    <r>
      <rPr>
        <sz val="8"/>
        <rFont val="Arial"/>
        <family val="2"/>
      </rPr>
      <t>p</t>
    </r>
    <r>
      <rPr>
        <sz val="10"/>
        <rFont val="Arial"/>
        <family val="0"/>
      </rPr>
      <t xml:space="preserve"> se usara la que sea mayor ya que será la que resista ambas acciones.</t>
    </r>
  </si>
  <si>
    <r>
      <t>5. Determinar el peralte necesario para resistir la Penetracion o Perforacion (b</t>
    </r>
    <r>
      <rPr>
        <sz val="8"/>
        <rFont val="Arial"/>
        <family val="2"/>
      </rPr>
      <t>o</t>
    </r>
    <r>
      <rPr>
        <sz val="10"/>
        <rFont val="Arial"/>
        <family val="0"/>
      </rPr>
      <t>d):</t>
    </r>
  </si>
  <si>
    <t>6. Determinacion del acero de Refuerzo:</t>
  </si>
  <si>
    <t>As =</t>
  </si>
  <si>
    <r>
      <t>r</t>
    </r>
    <r>
      <rPr>
        <sz val="10"/>
        <rFont val="Arial"/>
        <family val="0"/>
      </rPr>
      <t xml:space="preserve"> * b * d</t>
    </r>
  </si>
  <si>
    <t>No de Varillas proponiendo varillas del No</t>
  </si>
  <si>
    <t>"</t>
  </si>
  <si>
    <t>Av</t>
  </si>
  <si>
    <t>No. Var =</t>
  </si>
  <si>
    <t>As</t>
  </si>
  <si>
    <t>Varillas</t>
  </si>
  <si>
    <t>Peralte de Plantilla de Zapata ( h ):</t>
  </si>
  <si>
    <t>h =</t>
  </si>
  <si>
    <r>
      <t>1</t>
    </r>
    <r>
      <rPr>
        <sz val="10"/>
        <rFont val="Arial"/>
        <family val="0"/>
      </rPr>
      <t xml:space="preserve"> diam</t>
    </r>
  </si>
  <si>
    <t>Re</t>
  </si>
  <si>
    <t>a1</t>
  </si>
  <si>
    <t>a2</t>
  </si>
  <si>
    <t>h</t>
  </si>
  <si>
    <t>No. Var.=</t>
  </si>
  <si>
    <t>var.</t>
  </si>
  <si>
    <t>en cada cama</t>
  </si>
  <si>
    <t>Serán 2 camas de =</t>
  </si>
  <si>
    <t xml:space="preserve">Pedestal de </t>
  </si>
  <si>
    <t>Dimensiones de la Zapata Cuadrada:</t>
  </si>
  <si>
    <t>c</t>
  </si>
  <si>
    <t xml:space="preserve">Columna( c ) = </t>
  </si>
  <si>
    <t>Av =</t>
  </si>
  <si>
    <t>Rige</t>
  </si>
  <si>
    <t>A-1</t>
  </si>
  <si>
    <t>@</t>
  </si>
  <si>
    <t>Ton/m2</t>
  </si>
  <si>
    <t>Ton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</si>
</sst>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E+00"/>
    <numFmt numFmtId="165" formatCode="0E+00"/>
    <numFmt numFmtId="166" formatCode="0.000E+00"/>
    <numFmt numFmtId="167" formatCode="0.0000E+00"/>
    <numFmt numFmtId="168" formatCode="0.0000"/>
    <numFmt numFmtId="169" formatCode="0.00000"/>
    <numFmt numFmtId="170" formatCode="0.000"/>
    <numFmt numFmtId="171" formatCode="0.0"/>
    <numFmt numFmtId="172" formatCode="0.000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</numFmts>
  <fonts count="13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2"/>
      <name val="Symbol"/>
      <family val="1"/>
    </font>
    <font>
      <sz val="10"/>
      <name val="Symbol"/>
      <family val="1"/>
    </font>
    <font>
      <sz val="8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/>
    </xf>
    <xf numFmtId="170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0" fillId="2" borderId="0" xfId="0" applyNumberFormat="1" applyFill="1" applyAlignment="1">
      <alignment/>
    </xf>
    <xf numFmtId="0" fontId="6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10" fillId="2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2" fontId="0" fillId="2" borderId="0" xfId="0" applyNumberFormat="1" applyFill="1" applyAlignment="1">
      <alignment horizontal="center"/>
    </xf>
    <xf numFmtId="171" fontId="0" fillId="0" borderId="1" xfId="0" applyNumberFormat="1" applyBorder="1" applyAlignment="1">
      <alignment horizontal="center"/>
    </xf>
    <xf numFmtId="0" fontId="0" fillId="2" borderId="0" xfId="0" applyFill="1" applyAlignment="1">
      <alignment/>
    </xf>
    <xf numFmtId="0" fontId="5" fillId="3" borderId="0" xfId="0" applyFont="1" applyFill="1" applyAlignment="1">
      <alignment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1" fontId="0" fillId="3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2" fontId="5" fillId="3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8" fontId="4" fillId="2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0" fillId="0" borderId="1" xfId="0" applyNumberFormat="1" applyBorder="1" applyAlignment="1">
      <alignment horizontal="center"/>
    </xf>
    <xf numFmtId="170" fontId="4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71" fontId="4" fillId="2" borderId="0" xfId="0" applyNumberFormat="1" applyFont="1" applyFill="1" applyAlignment="1">
      <alignment horizontal="center"/>
    </xf>
    <xf numFmtId="1" fontId="10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10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41</xdr:row>
      <xdr:rowOff>0</xdr:rowOff>
    </xdr:from>
    <xdr:to>
      <xdr:col>12</xdr:col>
      <xdr:colOff>9525</xdr:colOff>
      <xdr:row>41</xdr:row>
      <xdr:rowOff>0</xdr:rowOff>
    </xdr:to>
    <xdr:sp>
      <xdr:nvSpPr>
        <xdr:cNvPr id="1" name="Line 4"/>
        <xdr:cNvSpPr>
          <a:spLocks/>
        </xdr:cNvSpPr>
      </xdr:nvSpPr>
      <xdr:spPr>
        <a:xfrm>
          <a:off x="1885950" y="66389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91</xdr:row>
      <xdr:rowOff>0</xdr:rowOff>
    </xdr:from>
    <xdr:to>
      <xdr:col>14</xdr:col>
      <xdr:colOff>0</xdr:colOff>
      <xdr:row>91</xdr:row>
      <xdr:rowOff>0</xdr:rowOff>
    </xdr:to>
    <xdr:sp>
      <xdr:nvSpPr>
        <xdr:cNvPr id="2" name="Line 6"/>
        <xdr:cNvSpPr>
          <a:spLocks/>
        </xdr:cNvSpPr>
      </xdr:nvSpPr>
      <xdr:spPr>
        <a:xfrm>
          <a:off x="2524125" y="147732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107</xdr:row>
      <xdr:rowOff>0</xdr:rowOff>
    </xdr:from>
    <xdr:to>
      <xdr:col>16</xdr:col>
      <xdr:colOff>142875</xdr:colOff>
      <xdr:row>107</xdr:row>
      <xdr:rowOff>0</xdr:rowOff>
    </xdr:to>
    <xdr:sp>
      <xdr:nvSpPr>
        <xdr:cNvPr id="3" name="Line 7"/>
        <xdr:cNvSpPr>
          <a:spLocks/>
        </xdr:cNvSpPr>
      </xdr:nvSpPr>
      <xdr:spPr>
        <a:xfrm>
          <a:off x="1638300" y="174021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149"/>
  <sheetViews>
    <sheetView tabSelected="1" view="pageBreakPreview" zoomScale="95" zoomScaleSheetLayoutView="95" workbookViewId="0" topLeftCell="A121">
      <selection activeCell="Y129" sqref="Y129"/>
    </sheetView>
  </sheetViews>
  <sheetFormatPr defaultColWidth="11.421875" defaultRowHeight="12.75"/>
  <cols>
    <col min="1" max="1" width="4.7109375" style="0" customWidth="1"/>
    <col min="2" max="4" width="2.7109375" style="0" customWidth="1"/>
    <col min="5" max="5" width="3.140625" style="0" customWidth="1"/>
    <col min="6" max="8" width="3.57421875" style="0" customWidth="1"/>
    <col min="9" max="9" width="3.140625" style="0" customWidth="1"/>
    <col min="10" max="10" width="3.57421875" style="0" customWidth="1"/>
    <col min="11" max="15" width="2.7109375" style="0" customWidth="1"/>
    <col min="16" max="16" width="3.140625" style="0" customWidth="1"/>
    <col min="17" max="16384" width="2.7109375" style="0" customWidth="1"/>
  </cols>
  <sheetData>
    <row r="2" spans="2:16" ht="12.75">
      <c r="B2" s="3" t="s">
        <v>0</v>
      </c>
      <c r="P2" s="3" t="s">
        <v>139</v>
      </c>
    </row>
    <row r="4" ht="12.75">
      <c r="B4" s="2" t="s">
        <v>1</v>
      </c>
    </row>
    <row r="5" ht="12.75">
      <c r="O5" s="6"/>
    </row>
    <row r="6" spans="2:6" ht="12.75">
      <c r="B6" t="s">
        <v>4</v>
      </c>
      <c r="D6" s="52">
        <v>1.4</v>
      </c>
      <c r="E6" s="52"/>
      <c r="F6" s="52"/>
    </row>
    <row r="7" spans="2:7" ht="12.75">
      <c r="B7" t="s">
        <v>2</v>
      </c>
      <c r="D7" s="52">
        <v>250</v>
      </c>
      <c r="E7" s="52"/>
      <c r="F7" s="52"/>
      <c r="G7" t="s">
        <v>6</v>
      </c>
    </row>
    <row r="8" spans="2:7" ht="12.75">
      <c r="B8" t="s">
        <v>3</v>
      </c>
      <c r="D8" s="52">
        <v>4200</v>
      </c>
      <c r="E8" s="52"/>
      <c r="F8" s="52"/>
      <c r="G8" t="s">
        <v>6</v>
      </c>
    </row>
    <row r="9" spans="2:7" ht="12.75">
      <c r="B9" t="s">
        <v>5</v>
      </c>
      <c r="D9" s="52">
        <v>20</v>
      </c>
      <c r="E9" s="52"/>
      <c r="F9" s="52"/>
      <c r="G9" t="s">
        <v>141</v>
      </c>
    </row>
    <row r="10" ht="12.75">
      <c r="B10" t="s">
        <v>7</v>
      </c>
    </row>
    <row r="11" spans="2:14" ht="12.75">
      <c r="B11" t="s">
        <v>14</v>
      </c>
      <c r="D11" s="53">
        <v>22.183</v>
      </c>
      <c r="E11" s="53"/>
      <c r="F11" s="53"/>
      <c r="G11" t="s">
        <v>16</v>
      </c>
      <c r="J11" s="52">
        <f>D11*1000</f>
        <v>22183</v>
      </c>
      <c r="K11" s="52"/>
      <c r="L11" s="52"/>
      <c r="M11" s="52"/>
      <c r="N11" t="s">
        <v>17</v>
      </c>
    </row>
    <row r="12" spans="2:10" ht="12.75">
      <c r="B12" t="s">
        <v>136</v>
      </c>
      <c r="G12" s="41">
        <v>25</v>
      </c>
      <c r="H12" s="1" t="s">
        <v>10</v>
      </c>
      <c r="I12" s="41">
        <v>25</v>
      </c>
      <c r="J12" s="2" t="s">
        <v>11</v>
      </c>
    </row>
    <row r="13" spans="2:10" ht="12.75">
      <c r="B13" t="s">
        <v>13</v>
      </c>
      <c r="G13" s="41">
        <f>G12+10</f>
        <v>35</v>
      </c>
      <c r="H13" s="1" t="s">
        <v>10</v>
      </c>
      <c r="I13" s="41">
        <f>I12+10</f>
        <v>35</v>
      </c>
      <c r="J13" t="s">
        <v>11</v>
      </c>
    </row>
    <row r="14" ht="12.75">
      <c r="B14" t="s">
        <v>9</v>
      </c>
    </row>
    <row r="15" ht="12.75">
      <c r="B15" t="s">
        <v>8</v>
      </c>
    </row>
    <row r="16" spans="2:12" ht="12.75">
      <c r="B16" t="s">
        <v>43</v>
      </c>
      <c r="D16" s="53">
        <v>100</v>
      </c>
      <c r="E16" s="53"/>
      <c r="F16" t="s">
        <v>11</v>
      </c>
      <c r="H16" s="4" t="s">
        <v>12</v>
      </c>
      <c r="J16" s="52">
        <f>D16/100</f>
        <v>1</v>
      </c>
      <c r="K16" s="52"/>
      <c r="L16" t="s">
        <v>23</v>
      </c>
    </row>
    <row r="17" spans="2:12" ht="12.75">
      <c r="B17" t="s">
        <v>24</v>
      </c>
      <c r="D17" s="53">
        <v>7</v>
      </c>
      <c r="E17" s="53"/>
      <c r="F17" t="s">
        <v>11</v>
      </c>
      <c r="H17" s="4" t="s">
        <v>12</v>
      </c>
      <c r="J17" s="52">
        <f>D17/100</f>
        <v>0.07</v>
      </c>
      <c r="K17" s="52"/>
      <c r="L17" t="s">
        <v>23</v>
      </c>
    </row>
    <row r="18" spans="4:9" ht="12.75">
      <c r="D18" s="1"/>
      <c r="E18" s="1"/>
      <c r="F18" s="4"/>
      <c r="H18" s="1"/>
      <c r="I18" s="1"/>
    </row>
    <row r="20" ht="12.75">
      <c r="B20" t="s">
        <v>19</v>
      </c>
    </row>
    <row r="21" ht="12.75">
      <c r="Q21" s="42"/>
    </row>
    <row r="22" spans="3:12" ht="12.75">
      <c r="C22" t="s">
        <v>15</v>
      </c>
      <c r="H22" t="s">
        <v>12</v>
      </c>
      <c r="I22" s="45">
        <f>D6*J11</f>
        <v>31056.199999999997</v>
      </c>
      <c r="J22" s="45"/>
      <c r="K22" s="45"/>
      <c r="L22" t="s">
        <v>17</v>
      </c>
    </row>
    <row r="24" ht="12.75">
      <c r="B24" t="s">
        <v>18</v>
      </c>
    </row>
    <row r="26" ht="12.75">
      <c r="C26" t="s">
        <v>20</v>
      </c>
    </row>
    <row r="28" spans="4:17" ht="12.75">
      <c r="D28" t="s">
        <v>21</v>
      </c>
      <c r="F28" s="4" t="s">
        <v>22</v>
      </c>
      <c r="G28" s="1" t="s">
        <v>35</v>
      </c>
      <c r="H28" t="s">
        <v>44</v>
      </c>
      <c r="I28" s="1" t="s">
        <v>35</v>
      </c>
      <c r="J28" s="53">
        <v>2400</v>
      </c>
      <c r="K28" s="53"/>
      <c r="L28" t="s">
        <v>12</v>
      </c>
      <c r="M28" s="58">
        <f>(POWER((I13/100),2))*J16*2400</f>
        <v>293.99999999999994</v>
      </c>
      <c r="N28" s="58"/>
      <c r="O28" s="58"/>
      <c r="P28" s="58"/>
      <c r="Q28" t="s">
        <v>17</v>
      </c>
    </row>
    <row r="30" spans="3:26" ht="12.75">
      <c r="C30" t="s">
        <v>31</v>
      </c>
      <c r="W30" s="45">
        <v>10</v>
      </c>
      <c r="X30" s="45"/>
      <c r="Y30" t="s">
        <v>32</v>
      </c>
      <c r="Z30" t="s">
        <v>33</v>
      </c>
    </row>
    <row r="32" spans="4:12" ht="12.75">
      <c r="D32" t="s">
        <v>25</v>
      </c>
      <c r="F32" t="s">
        <v>27</v>
      </c>
      <c r="L32" t="s">
        <v>12</v>
      </c>
    </row>
    <row r="33" ht="12.75">
      <c r="H33" t="s">
        <v>26</v>
      </c>
    </row>
    <row r="35" spans="4:12" ht="12.75">
      <c r="D35" t="s">
        <v>97</v>
      </c>
      <c r="H35" s="58">
        <f>I22+M28</f>
        <v>31350.199999999997</v>
      </c>
      <c r="I35" s="45"/>
      <c r="J35" s="45"/>
      <c r="L35" t="s">
        <v>17</v>
      </c>
    </row>
    <row r="37" spans="4:22" ht="12.75">
      <c r="D37" t="s">
        <v>29</v>
      </c>
      <c r="F37" s="53">
        <f>W30/100</f>
        <v>0.1</v>
      </c>
      <c r="G37" s="53"/>
      <c r="H37" s="1" t="s">
        <v>10</v>
      </c>
      <c r="I37" s="53">
        <f>D9</f>
        <v>20</v>
      </c>
      <c r="J37" s="53"/>
      <c r="K37" s="53"/>
      <c r="L37" t="s">
        <v>12</v>
      </c>
      <c r="M37" s="45">
        <f>F37*I37</f>
        <v>2</v>
      </c>
      <c r="N37" s="45"/>
      <c r="O37" s="45"/>
      <c r="P37" t="s">
        <v>142</v>
      </c>
      <c r="R37" t="s">
        <v>12</v>
      </c>
      <c r="S37" s="65">
        <f>M37*1000</f>
        <v>2000</v>
      </c>
      <c r="T37" s="65"/>
      <c r="U37" s="65"/>
      <c r="V37" t="s">
        <v>17</v>
      </c>
    </row>
    <row r="38" spans="4:20" ht="12.75">
      <c r="D38" t="s">
        <v>28</v>
      </c>
      <c r="F38" t="s">
        <v>30</v>
      </c>
      <c r="I38" t="s">
        <v>12</v>
      </c>
      <c r="J38" s="45">
        <f>(D9-M37)</f>
        <v>18</v>
      </c>
      <c r="K38" s="45"/>
      <c r="L38" s="45"/>
      <c r="M38" t="s">
        <v>142</v>
      </c>
      <c r="O38" t="s">
        <v>12</v>
      </c>
      <c r="P38" s="65">
        <f>J38*1000</f>
        <v>18000</v>
      </c>
      <c r="Q38" s="65"/>
      <c r="R38" s="65"/>
      <c r="T38" t="s">
        <v>17</v>
      </c>
    </row>
    <row r="40" spans="4:13" ht="12.75">
      <c r="D40" t="s">
        <v>36</v>
      </c>
      <c r="F40" s="48">
        <f>(I22+M28)/P38</f>
        <v>1.7416777777777777</v>
      </c>
      <c r="G40" s="48"/>
      <c r="H40" s="48"/>
      <c r="I40" t="s">
        <v>37</v>
      </c>
      <c r="M40" t="s">
        <v>40</v>
      </c>
    </row>
    <row r="42" spans="4:22" ht="15.75">
      <c r="D42" t="s">
        <v>38</v>
      </c>
      <c r="I42" s="7" t="s">
        <v>39</v>
      </c>
      <c r="J42" s="57">
        <f>F40</f>
        <v>1.7416777777777777</v>
      </c>
      <c r="K42" s="57"/>
      <c r="L42" s="57"/>
      <c r="M42" t="s">
        <v>12</v>
      </c>
      <c r="N42" s="48">
        <f>(SQRT(J42))</f>
        <v>1.3197264026220654</v>
      </c>
      <c r="O42" s="48"/>
      <c r="P42" s="48"/>
      <c r="Q42" s="40" t="s">
        <v>23</v>
      </c>
      <c r="R42" t="s">
        <v>12</v>
      </c>
      <c r="S42" s="58">
        <f>N42*100</f>
        <v>131.97264026220654</v>
      </c>
      <c r="T42" s="58"/>
      <c r="U42" s="58"/>
      <c r="V42" t="s">
        <v>11</v>
      </c>
    </row>
    <row r="44" spans="4:15" ht="12.75">
      <c r="D44" t="s">
        <v>41</v>
      </c>
      <c r="F44" t="s">
        <v>42</v>
      </c>
      <c r="I44" t="s">
        <v>12</v>
      </c>
      <c r="J44" s="45">
        <f>(N42-(I13/100))/2</f>
        <v>0.4848632013110327</v>
      </c>
      <c r="K44" s="45"/>
      <c r="L44" t="s">
        <v>23</v>
      </c>
      <c r="O44" s="5"/>
    </row>
    <row r="45" spans="6:7" ht="12.75">
      <c r="F45" s="53">
        <v>2</v>
      </c>
      <c r="G45" s="53"/>
    </row>
    <row r="47" ht="12.75">
      <c r="B47" t="s">
        <v>45</v>
      </c>
    </row>
    <row r="49" spans="4:17" ht="12.75">
      <c r="D49" t="s">
        <v>46</v>
      </c>
      <c r="F49" s="9" t="s">
        <v>26</v>
      </c>
      <c r="G49" s="10" t="s">
        <v>35</v>
      </c>
      <c r="H49" s="49" t="s">
        <v>47</v>
      </c>
      <c r="I49" s="49"/>
      <c r="J49" s="9" t="s">
        <v>35</v>
      </c>
      <c r="K49" s="9" t="s">
        <v>48</v>
      </c>
      <c r="L49" t="s">
        <v>12</v>
      </c>
      <c r="M49" s="54">
        <f>(P38*(POWER(J44,2))*S42)/2</f>
        <v>279231.79231579916</v>
      </c>
      <c r="N49" s="54"/>
      <c r="O49" s="54"/>
      <c r="P49" s="54"/>
      <c r="Q49" t="s">
        <v>49</v>
      </c>
    </row>
    <row r="50" ht="12.75">
      <c r="H50">
        <v>2</v>
      </c>
    </row>
    <row r="52" ht="12.75">
      <c r="B52" t="s">
        <v>50</v>
      </c>
    </row>
    <row r="54" spans="3:5" ht="12.75">
      <c r="C54" t="s">
        <v>51</v>
      </c>
      <c r="E54" t="s">
        <v>52</v>
      </c>
    </row>
    <row r="56" spans="3:6" ht="12.75">
      <c r="C56" s="8" t="s">
        <v>53</v>
      </c>
      <c r="E56" s="8" t="s">
        <v>55</v>
      </c>
      <c r="F56" s="11"/>
    </row>
    <row r="57" ht="12.75">
      <c r="F57" s="1" t="s">
        <v>54</v>
      </c>
    </row>
    <row r="59" spans="3:16" ht="12.75">
      <c r="C59" s="8" t="s">
        <v>57</v>
      </c>
      <c r="E59" s="11" t="s">
        <v>59</v>
      </c>
      <c r="F59" s="11"/>
      <c r="G59" s="11"/>
      <c r="H59" s="1" t="s">
        <v>10</v>
      </c>
      <c r="I59" s="50">
        <v>4800</v>
      </c>
      <c r="J59" s="50"/>
      <c r="K59" s="50"/>
      <c r="M59" t="s">
        <v>12</v>
      </c>
      <c r="N59" s="51">
        <f>((0.85*D7)/D8)*((4800/(D8+6000)))</f>
        <v>0.023809523809523808</v>
      </c>
      <c r="O59" s="51"/>
      <c r="P59" s="51"/>
    </row>
    <row r="60" spans="6:9" ht="12.75">
      <c r="F60" t="s">
        <v>58</v>
      </c>
      <c r="I60" t="s">
        <v>60</v>
      </c>
    </row>
    <row r="62" ht="12.75">
      <c r="C62" s="8" t="s">
        <v>61</v>
      </c>
    </row>
    <row r="64" spans="3:10" ht="12.75">
      <c r="C64" s="8" t="s">
        <v>63</v>
      </c>
      <c r="E64" t="s">
        <v>62</v>
      </c>
      <c r="G64" t="s">
        <v>12</v>
      </c>
      <c r="H64" s="45">
        <f>14/D8</f>
        <v>0.0033333333333333335</v>
      </c>
      <c r="I64" s="45"/>
      <c r="J64" s="45"/>
    </row>
    <row r="66" spans="3:15" ht="12.75">
      <c r="C66" s="8" t="s">
        <v>56</v>
      </c>
      <c r="E66" s="15" t="s">
        <v>64</v>
      </c>
      <c r="F66" s="1" t="s">
        <v>34</v>
      </c>
      <c r="G66" s="9" t="s">
        <v>66</v>
      </c>
      <c r="H66" s="12" t="s">
        <v>34</v>
      </c>
      <c r="I66" s="13" t="s">
        <v>65</v>
      </c>
      <c r="K66" t="s">
        <v>12</v>
      </c>
      <c r="L66" s="56">
        <f>N59-((N59-H64)/2)</f>
        <v>0.013571428571428571</v>
      </c>
      <c r="M66" s="56"/>
      <c r="N66" s="56"/>
      <c r="O66" s="14"/>
    </row>
    <row r="67" ht="12.75">
      <c r="H67" s="1">
        <v>2</v>
      </c>
    </row>
    <row r="69" spans="3:10" ht="12.75">
      <c r="C69" s="8" t="s">
        <v>53</v>
      </c>
      <c r="E69" s="13" t="s">
        <v>55</v>
      </c>
      <c r="F69" s="11"/>
      <c r="G69" s="1" t="s">
        <v>12</v>
      </c>
      <c r="H69" s="45">
        <f>(L66*D8)/D7</f>
        <v>0.228</v>
      </c>
      <c r="I69" s="45"/>
      <c r="J69" s="45"/>
    </row>
    <row r="70" ht="12.75">
      <c r="F70" s="1" t="s">
        <v>54</v>
      </c>
    </row>
    <row r="72" spans="3:23" ht="12.75">
      <c r="C72" t="s">
        <v>67</v>
      </c>
      <c r="E72" s="11"/>
      <c r="F72" s="11"/>
      <c r="G72" s="11" t="s">
        <v>68</v>
      </c>
      <c r="H72" s="11"/>
      <c r="I72" s="11"/>
      <c r="J72" s="11"/>
      <c r="K72" s="11"/>
      <c r="L72" s="17"/>
      <c r="M72" t="s">
        <v>12</v>
      </c>
      <c r="N72" s="55">
        <f>M49</f>
        <v>279231.79231579916</v>
      </c>
      <c r="O72" s="55"/>
      <c r="P72" s="55"/>
      <c r="Q72" s="55"/>
      <c r="R72" s="55"/>
      <c r="S72" t="s">
        <v>12</v>
      </c>
      <c r="T72" s="47">
        <f>(N72/N73)</f>
        <v>47.65478967265767</v>
      </c>
      <c r="U72" s="47"/>
      <c r="V72" s="47"/>
      <c r="W72" t="s">
        <v>69</v>
      </c>
    </row>
    <row r="73" spans="5:18" ht="12.75">
      <c r="E73" t="s">
        <v>70</v>
      </c>
      <c r="N73" s="46">
        <f>0.9*S42*D7*H69*(1-(0.59*H69))</f>
        <v>5859.469619609101</v>
      </c>
      <c r="O73" s="46"/>
      <c r="P73" s="46"/>
      <c r="Q73" s="46"/>
      <c r="R73" s="46"/>
    </row>
    <row r="74" ht="12.75">
      <c r="W74" s="42"/>
    </row>
    <row r="75" spans="3:11" ht="12.75">
      <c r="C75" t="s">
        <v>71</v>
      </c>
      <c r="E75" s="52">
        <f>SQRT(T72)</f>
        <v>6.9032448654714305</v>
      </c>
      <c r="F75" s="52"/>
      <c r="G75" s="52"/>
      <c r="H75" t="s">
        <v>11</v>
      </c>
      <c r="I75" t="s">
        <v>12</v>
      </c>
      <c r="J75" s="43">
        <f>E75*2</f>
        <v>13.806489730942861</v>
      </c>
      <c r="K75" t="s">
        <v>11</v>
      </c>
    </row>
    <row r="77" ht="12.75">
      <c r="C77" t="s">
        <v>72</v>
      </c>
    </row>
    <row r="79" spans="3:7" ht="12.75">
      <c r="C79" t="s">
        <v>73</v>
      </c>
      <c r="E79" s="11" t="s">
        <v>74</v>
      </c>
      <c r="F79" s="11"/>
      <c r="G79" t="s">
        <v>77</v>
      </c>
    </row>
    <row r="80" spans="5:8" ht="12.75">
      <c r="E80" s="53">
        <v>2</v>
      </c>
      <c r="F80" s="53"/>
      <c r="H80" s="2">
        <v>2</v>
      </c>
    </row>
    <row r="82" spans="3:13" ht="12.75">
      <c r="C82" t="s">
        <v>75</v>
      </c>
      <c r="E82" t="s">
        <v>76</v>
      </c>
      <c r="G82" t="s">
        <v>12</v>
      </c>
      <c r="H82" s="41">
        <f>J75+I13</f>
        <v>48.80648973094286</v>
      </c>
      <c r="I82" t="s">
        <v>11</v>
      </c>
      <c r="J82" t="s">
        <v>12</v>
      </c>
      <c r="K82" s="48">
        <f>H82/100</f>
        <v>0.4880648973094286</v>
      </c>
      <c r="L82" s="48"/>
      <c r="M82" t="s">
        <v>23</v>
      </c>
    </row>
    <row r="83" ht="12.75">
      <c r="W83" s="40"/>
    </row>
    <row r="84" spans="3:11" ht="12.75">
      <c r="C84" t="s">
        <v>73</v>
      </c>
      <c r="E84" s="45">
        <f>((N42+K82)/2)*((N42-K82)/2)</f>
        <v>0.3758676084480287</v>
      </c>
      <c r="F84" s="45"/>
      <c r="G84" t="s">
        <v>37</v>
      </c>
      <c r="H84" t="s">
        <v>12</v>
      </c>
      <c r="I84" s="65">
        <f>E84*100*100</f>
        <v>3758.6760844802866</v>
      </c>
      <c r="J84" s="65"/>
      <c r="K84" t="s">
        <v>69</v>
      </c>
    </row>
    <row r="87" spans="3:18" ht="12.75">
      <c r="C87" t="s">
        <v>78</v>
      </c>
      <c r="E87" t="s">
        <v>79</v>
      </c>
      <c r="G87" s="1" t="s">
        <v>12</v>
      </c>
      <c r="H87" s="45">
        <f>P38*E84</f>
        <v>6765.616952064516</v>
      </c>
      <c r="I87" s="45"/>
      <c r="J87" s="45"/>
      <c r="K87" t="s">
        <v>17</v>
      </c>
      <c r="R87" t="s">
        <v>96</v>
      </c>
    </row>
    <row r="89" spans="3:12" ht="12.75">
      <c r="C89" s="8" t="s">
        <v>80</v>
      </c>
      <c r="E89" s="11"/>
      <c r="F89" s="11" t="s">
        <v>81</v>
      </c>
      <c r="G89" s="11"/>
      <c r="H89" s="1" t="s">
        <v>12</v>
      </c>
      <c r="I89" s="45">
        <f>H87/(0.8*H82*J75)</f>
        <v>12.550371203636272</v>
      </c>
      <c r="J89" s="45"/>
      <c r="K89" s="45"/>
      <c r="L89" t="s">
        <v>6</v>
      </c>
    </row>
    <row r="90" ht="12.75">
      <c r="E90" t="s">
        <v>82</v>
      </c>
    </row>
    <row r="92" spans="3:26" ht="15.75">
      <c r="C92" t="s">
        <v>92</v>
      </c>
      <c r="I92" s="8" t="s">
        <v>83</v>
      </c>
      <c r="J92" t="s">
        <v>84</v>
      </c>
      <c r="K92" t="s">
        <v>91</v>
      </c>
      <c r="L92" s="7" t="s">
        <v>39</v>
      </c>
      <c r="M92" t="s">
        <v>86</v>
      </c>
      <c r="S92" t="s">
        <v>87</v>
      </c>
      <c r="U92" t="s">
        <v>88</v>
      </c>
      <c r="Y92" t="s">
        <v>89</v>
      </c>
      <c r="Z92" t="s">
        <v>90</v>
      </c>
    </row>
    <row r="94" spans="6:12" ht="12.75">
      <c r="F94" s="18">
        <f>I89</f>
        <v>12.550371203636272</v>
      </c>
      <c r="G94" t="s">
        <v>6</v>
      </c>
      <c r="I94" s="1" t="s">
        <v>85</v>
      </c>
      <c r="J94" s="38">
        <f>0.8*(SQRT(0.8*D7))</f>
        <v>11.313708498984761</v>
      </c>
      <c r="K94" s="38"/>
      <c r="L94" t="s">
        <v>6</v>
      </c>
    </row>
    <row r="96" ht="12.75">
      <c r="D96" t="s">
        <v>93</v>
      </c>
    </row>
    <row r="98" spans="3:22" ht="12.75">
      <c r="C98" s="16" t="s">
        <v>94</v>
      </c>
      <c r="F98" s="11"/>
      <c r="G98" s="11" t="s">
        <v>81</v>
      </c>
      <c r="H98" s="11"/>
      <c r="I98" s="11"/>
      <c r="K98" t="s">
        <v>12</v>
      </c>
      <c r="M98" s="50">
        <f>H87</f>
        <v>6765.616952064516</v>
      </c>
      <c r="N98" s="50"/>
      <c r="O98" s="50"/>
      <c r="P98" s="50"/>
      <c r="R98" t="s">
        <v>12</v>
      </c>
      <c r="T98" s="45">
        <f>M98/M99</f>
        <v>15.315629809454098</v>
      </c>
      <c r="U98" s="45"/>
      <c r="V98" t="s">
        <v>11</v>
      </c>
    </row>
    <row r="99" spans="6:16" ht="12.75">
      <c r="F99" t="s">
        <v>95</v>
      </c>
      <c r="M99" s="46">
        <f>0.8*H82*J94</f>
        <v>441.7459181396646</v>
      </c>
      <c r="N99" s="46"/>
      <c r="O99" s="46"/>
      <c r="P99" s="46"/>
    </row>
    <row r="101" ht="12.75">
      <c r="B101" t="s">
        <v>112</v>
      </c>
    </row>
    <row r="103" spans="3:19" ht="12.75">
      <c r="C103" t="s">
        <v>100</v>
      </c>
      <c r="F103" s="50" t="s">
        <v>98</v>
      </c>
      <c r="G103" s="50"/>
      <c r="H103" s="50"/>
      <c r="I103" s="1" t="s">
        <v>12</v>
      </c>
      <c r="J103" s="39">
        <f>H35</f>
        <v>31350.199999999997</v>
      </c>
      <c r="K103" s="50"/>
      <c r="L103" s="50"/>
      <c r="M103" s="50"/>
      <c r="O103" t="s">
        <v>12</v>
      </c>
      <c r="P103" s="45">
        <f>J103/J104</f>
        <v>2770.9923764443124</v>
      </c>
      <c r="Q103" s="45"/>
      <c r="R103" s="45"/>
      <c r="S103" t="s">
        <v>69</v>
      </c>
    </row>
    <row r="104" spans="7:13" ht="12.75">
      <c r="G104" s="8" t="s">
        <v>99</v>
      </c>
      <c r="J104" s="57">
        <f>J94</f>
        <v>11.313708498984761</v>
      </c>
      <c r="K104" s="53"/>
      <c r="L104" s="53"/>
      <c r="M104" s="53"/>
    </row>
    <row r="106" spans="3:14" ht="12.75">
      <c r="C106" t="s">
        <v>104</v>
      </c>
      <c r="E106">
        <v>4</v>
      </c>
      <c r="F106" t="s">
        <v>101</v>
      </c>
      <c r="G106" s="1" t="s">
        <v>102</v>
      </c>
      <c r="H106" s="53">
        <v>240</v>
      </c>
      <c r="I106" s="53"/>
      <c r="J106" t="s">
        <v>103</v>
      </c>
      <c r="K106" t="s">
        <v>102</v>
      </c>
      <c r="L106" s="53">
        <f>-(P103)</f>
        <v>-2770.9923764443124</v>
      </c>
      <c r="M106" s="53"/>
      <c r="N106" s="53"/>
    </row>
    <row r="108" spans="3:25" ht="15.75">
      <c r="C108" t="s">
        <v>105</v>
      </c>
      <c r="E108" s="21"/>
      <c r="F108" s="11">
        <f>-(I13)</f>
        <v>-35</v>
      </c>
      <c r="G108" s="12" t="s">
        <v>102</v>
      </c>
      <c r="H108" s="19" t="s">
        <v>107</v>
      </c>
      <c r="I108" s="12">
        <f>I13</f>
        <v>35</v>
      </c>
      <c r="J108" s="11" t="s">
        <v>106</v>
      </c>
      <c r="K108" s="11" t="s">
        <v>109</v>
      </c>
      <c r="L108" s="11">
        <v>4</v>
      </c>
      <c r="M108" s="11" t="s">
        <v>110</v>
      </c>
      <c r="N108" s="55">
        <f>L106/4</f>
        <v>-692.7480941110781</v>
      </c>
      <c r="O108" s="55"/>
      <c r="P108" s="55"/>
      <c r="Q108" s="11" t="s">
        <v>108</v>
      </c>
      <c r="R108" s="20" t="s">
        <v>12</v>
      </c>
      <c r="S108" s="50">
        <f>(F108)</f>
        <v>-35</v>
      </c>
      <c r="T108" s="50"/>
      <c r="U108" s="22" t="s">
        <v>102</v>
      </c>
      <c r="V108" s="50">
        <f>SQRT((POWER(I13,2))-(4*N108))</f>
        <v>63.2138622174307</v>
      </c>
      <c r="W108" s="50"/>
      <c r="X108" s="50"/>
      <c r="Y108" s="50"/>
    </row>
    <row r="109" spans="5:25" ht="15.75">
      <c r="E109" s="21"/>
      <c r="F109" s="17"/>
      <c r="G109" s="23"/>
      <c r="H109" s="24"/>
      <c r="I109">
        <v>2</v>
      </c>
      <c r="U109">
        <v>2</v>
      </c>
      <c r="V109" s="23"/>
      <c r="W109" s="23"/>
      <c r="X109" s="23"/>
      <c r="Y109" s="23"/>
    </row>
    <row r="111" spans="3:10" ht="12.75">
      <c r="C111" t="s">
        <v>105</v>
      </c>
      <c r="E111" t="s">
        <v>102</v>
      </c>
      <c r="F111" s="45">
        <f>(S108+V108)/2</f>
        <v>14.10693110871535</v>
      </c>
      <c r="G111" s="45"/>
      <c r="H111" t="s">
        <v>11</v>
      </c>
      <c r="I111" s="4" t="s">
        <v>12</v>
      </c>
      <c r="J111" t="s">
        <v>138</v>
      </c>
    </row>
    <row r="112" spans="3:8" ht="12.75">
      <c r="C112" t="s">
        <v>105</v>
      </c>
      <c r="E112" t="s">
        <v>34</v>
      </c>
      <c r="F112" s="53">
        <f>(S108-V108)/2</f>
        <v>-49.10693110871535</v>
      </c>
      <c r="G112" s="53"/>
      <c r="H112" t="s">
        <v>11</v>
      </c>
    </row>
    <row r="114" ht="12.75">
      <c r="B114" t="s">
        <v>111</v>
      </c>
    </row>
    <row r="117" spans="3:7" ht="12.75">
      <c r="C117" s="16" t="s">
        <v>94</v>
      </c>
      <c r="E117" s="45">
        <f>T98</f>
        <v>15.315629809454098</v>
      </c>
      <c r="F117" s="45"/>
      <c r="G117" t="s">
        <v>11</v>
      </c>
    </row>
    <row r="119" ht="12.75">
      <c r="B119" t="s">
        <v>113</v>
      </c>
    </row>
    <row r="121" spans="3:11" ht="12.75">
      <c r="C121" t="s">
        <v>114</v>
      </c>
      <c r="E121" s="8" t="s">
        <v>115</v>
      </c>
      <c r="H121" t="s">
        <v>12</v>
      </c>
      <c r="I121" s="45">
        <f>L66*S42*E117</f>
        <v>27.431169972437168</v>
      </c>
      <c r="J121" s="45"/>
      <c r="K121" t="s">
        <v>69</v>
      </c>
    </row>
    <row r="123" spans="3:23" ht="12.75">
      <c r="C123" t="s">
        <v>116</v>
      </c>
      <c r="P123" s="26">
        <v>5</v>
      </c>
      <c r="Q123" t="s">
        <v>117</v>
      </c>
      <c r="S123" t="s">
        <v>137</v>
      </c>
      <c r="T123" s="4"/>
      <c r="U123" s="60">
        <f>(3.141592654*(POWER(((P123/8)*2.54),2)))/4</f>
        <v>1.9793260904830468</v>
      </c>
      <c r="V123" s="60"/>
      <c r="W123" t="s">
        <v>69</v>
      </c>
    </row>
    <row r="124" ht="12.75">
      <c r="P124" s="1">
        <v>8</v>
      </c>
    </row>
    <row r="126" spans="3:18" ht="12.75">
      <c r="C126" t="s">
        <v>119</v>
      </c>
      <c r="G126" s="11" t="s">
        <v>120</v>
      </c>
      <c r="H126" t="s">
        <v>12</v>
      </c>
      <c r="I126" s="50">
        <f>I121</f>
        <v>27.431169972437168</v>
      </c>
      <c r="J126" s="50"/>
      <c r="K126" t="s">
        <v>12</v>
      </c>
      <c r="L126" s="45">
        <f>I126/I127</f>
        <v>13.858843221605136</v>
      </c>
      <c r="M126" s="45"/>
      <c r="O126" t="s">
        <v>12</v>
      </c>
      <c r="P126" s="59">
        <f>L126</f>
        <v>13.858843221605136</v>
      </c>
      <c r="Q126" s="59"/>
      <c r="R126" t="s">
        <v>121</v>
      </c>
    </row>
    <row r="127" spans="7:10" ht="12.75">
      <c r="G127" t="s">
        <v>118</v>
      </c>
      <c r="I127" s="53">
        <f>U123</f>
        <v>1.9793260904830468</v>
      </c>
      <c r="J127" s="53"/>
    </row>
    <row r="129" ht="12.75">
      <c r="C129" t="s">
        <v>122</v>
      </c>
    </row>
    <row r="131" spans="3:19" ht="12.75">
      <c r="C131" t="s">
        <v>123</v>
      </c>
      <c r="E131" t="s">
        <v>103</v>
      </c>
      <c r="F131" t="s">
        <v>102</v>
      </c>
      <c r="G131" s="25" t="s">
        <v>124</v>
      </c>
      <c r="I131" t="s">
        <v>102</v>
      </c>
      <c r="J131" t="s">
        <v>125</v>
      </c>
      <c r="K131" t="s">
        <v>12</v>
      </c>
      <c r="L131" s="45">
        <f>E117+(((((P123/8)*2.54)/2)*3.141592624)/4)+D17</f>
        <v>22.9390395957791</v>
      </c>
      <c r="M131" s="45"/>
      <c r="N131" t="s">
        <v>11</v>
      </c>
      <c r="P131" t="s">
        <v>12</v>
      </c>
      <c r="Q131" s="59">
        <f>L131+1</f>
        <v>23.9390395957791</v>
      </c>
      <c r="R131" s="59"/>
      <c r="S131" t="s">
        <v>11</v>
      </c>
    </row>
    <row r="132" ht="12.75">
      <c r="G132" s="2">
        <v>2</v>
      </c>
    </row>
    <row r="135" ht="12.75">
      <c r="C135" t="s">
        <v>134</v>
      </c>
    </row>
    <row r="137" ht="13.5" thickBot="1"/>
    <row r="138" spans="2:12" ht="12.75">
      <c r="B138" s="27" t="s">
        <v>103</v>
      </c>
      <c r="C138" s="28"/>
      <c r="D138" s="28" t="s">
        <v>12</v>
      </c>
      <c r="E138" s="62">
        <f>E117</f>
        <v>15.315629809454098</v>
      </c>
      <c r="F138" s="62"/>
      <c r="G138" s="62"/>
      <c r="H138" s="28" t="s">
        <v>11</v>
      </c>
      <c r="I138" s="28"/>
      <c r="J138" s="28"/>
      <c r="K138" s="28"/>
      <c r="L138" s="29"/>
    </row>
    <row r="139" spans="2:12" ht="12.75">
      <c r="B139" s="30" t="s">
        <v>125</v>
      </c>
      <c r="C139" s="31"/>
      <c r="D139" s="31" t="s">
        <v>12</v>
      </c>
      <c r="E139" s="63">
        <f>D17</f>
        <v>7</v>
      </c>
      <c r="F139" s="63"/>
      <c r="G139" s="63"/>
      <c r="H139" s="31" t="s">
        <v>11</v>
      </c>
      <c r="I139" s="31"/>
      <c r="J139" s="31"/>
      <c r="K139" s="31"/>
      <c r="L139" s="33"/>
    </row>
    <row r="140" spans="2:12" ht="12.75">
      <c r="B140" s="30" t="s">
        <v>126</v>
      </c>
      <c r="C140" s="31"/>
      <c r="D140" s="31" t="s">
        <v>12</v>
      </c>
      <c r="E140" s="61">
        <f>S42</f>
        <v>131.97264026220654</v>
      </c>
      <c r="F140" s="61"/>
      <c r="G140" s="61"/>
      <c r="H140" s="31" t="s">
        <v>11</v>
      </c>
      <c r="I140" s="31"/>
      <c r="J140" s="31"/>
      <c r="K140" s="31"/>
      <c r="L140" s="33"/>
    </row>
    <row r="141" spans="2:12" ht="12.75">
      <c r="B141" s="30" t="s">
        <v>127</v>
      </c>
      <c r="C141" s="31"/>
      <c r="D141" s="31" t="s">
        <v>12</v>
      </c>
      <c r="E141" s="61">
        <f>S42</f>
        <v>131.97264026220654</v>
      </c>
      <c r="F141" s="61"/>
      <c r="G141" s="61"/>
      <c r="H141" s="31" t="s">
        <v>11</v>
      </c>
      <c r="I141" s="31"/>
      <c r="J141" s="31"/>
      <c r="K141" s="31"/>
      <c r="L141" s="33"/>
    </row>
    <row r="142" spans="2:12" ht="12.75">
      <c r="B142" s="30" t="s">
        <v>128</v>
      </c>
      <c r="C142" s="31"/>
      <c r="D142" s="31" t="s">
        <v>12</v>
      </c>
      <c r="E142" s="61">
        <f>Q131</f>
        <v>23.9390395957791</v>
      </c>
      <c r="F142" s="61"/>
      <c r="G142" s="61"/>
      <c r="H142" s="31" t="s">
        <v>11</v>
      </c>
      <c r="I142" s="31"/>
      <c r="J142" s="31"/>
      <c r="K142" s="31"/>
      <c r="L142" s="33"/>
    </row>
    <row r="143" spans="2:12" ht="12.75">
      <c r="B143" s="30" t="s">
        <v>135</v>
      </c>
      <c r="C143" s="31"/>
      <c r="D143" s="31" t="s">
        <v>12</v>
      </c>
      <c r="E143" s="31">
        <f>G12</f>
        <v>25</v>
      </c>
      <c r="F143" s="32" t="s">
        <v>10</v>
      </c>
      <c r="G143" s="31">
        <f>I12</f>
        <v>25</v>
      </c>
      <c r="H143" s="31" t="s">
        <v>11</v>
      </c>
      <c r="I143" s="31"/>
      <c r="J143" s="31"/>
      <c r="K143" s="31"/>
      <c r="L143" s="33"/>
    </row>
    <row r="144" spans="2:12" ht="12.75">
      <c r="B144" s="30" t="s">
        <v>129</v>
      </c>
      <c r="C144" s="31"/>
      <c r="D144" s="31"/>
      <c r="E144" s="31"/>
      <c r="F144" s="61">
        <f>P126</f>
        <v>13.858843221605136</v>
      </c>
      <c r="G144" s="61"/>
      <c r="H144" s="31" t="s">
        <v>130</v>
      </c>
      <c r="I144" s="31"/>
      <c r="J144" s="31"/>
      <c r="K144" s="31"/>
      <c r="L144" s="33"/>
    </row>
    <row r="145" spans="2:12" ht="12.75">
      <c r="B145" s="30"/>
      <c r="C145" s="31"/>
      <c r="D145" s="31"/>
      <c r="E145" s="31"/>
      <c r="F145" s="31"/>
      <c r="G145" s="31"/>
      <c r="H145" s="31"/>
      <c r="I145" s="31"/>
      <c r="J145" s="31"/>
      <c r="K145" s="31"/>
      <c r="L145" s="33"/>
    </row>
    <row r="146" spans="2:12" ht="12.75">
      <c r="B146" s="30" t="s">
        <v>132</v>
      </c>
      <c r="C146" s="31"/>
      <c r="D146" s="31"/>
      <c r="E146" s="31"/>
      <c r="F146" s="31"/>
      <c r="G146" s="31"/>
      <c r="H146" s="44">
        <f>(F144)+1</f>
        <v>14.858843221605136</v>
      </c>
      <c r="I146" s="31" t="s">
        <v>140</v>
      </c>
      <c r="J146" s="31">
        <f>E140/H146</f>
        <v>8.881757367916432</v>
      </c>
      <c r="K146" s="33" t="s">
        <v>11</v>
      </c>
      <c r="L146" s="64"/>
    </row>
    <row r="147" spans="2:12" ht="12.75">
      <c r="B147" s="30" t="s">
        <v>131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3"/>
    </row>
    <row r="148" spans="2:12" ht="12.75">
      <c r="B148" s="30"/>
      <c r="C148" s="31"/>
      <c r="D148" s="31"/>
      <c r="E148" s="31"/>
      <c r="F148" s="31"/>
      <c r="G148" s="31"/>
      <c r="H148" s="31"/>
      <c r="I148" s="31"/>
      <c r="J148" s="31"/>
      <c r="K148" s="31"/>
      <c r="L148" s="33"/>
    </row>
    <row r="149" spans="2:12" ht="13.5" thickBot="1">
      <c r="B149" s="34" t="s">
        <v>133</v>
      </c>
      <c r="C149" s="35"/>
      <c r="D149" s="35"/>
      <c r="E149" s="35"/>
      <c r="F149" s="35">
        <f>G13</f>
        <v>35</v>
      </c>
      <c r="G149" s="36" t="s">
        <v>10</v>
      </c>
      <c r="H149" s="35">
        <f>I13</f>
        <v>35</v>
      </c>
      <c r="I149" s="35" t="s">
        <v>11</v>
      </c>
      <c r="J149" s="35"/>
      <c r="K149" s="35"/>
      <c r="L149" s="37"/>
    </row>
  </sheetData>
  <mergeCells count="74">
    <mergeCell ref="P38:R38"/>
    <mergeCell ref="I84:J84"/>
    <mergeCell ref="F144:G144"/>
    <mergeCell ref="E138:G138"/>
    <mergeCell ref="E139:G139"/>
    <mergeCell ref="E140:G140"/>
    <mergeCell ref="E141:G141"/>
    <mergeCell ref="E142:G142"/>
    <mergeCell ref="F111:G111"/>
    <mergeCell ref="F112:G112"/>
    <mergeCell ref="I127:J127"/>
    <mergeCell ref="L131:M131"/>
    <mergeCell ref="E117:F117"/>
    <mergeCell ref="I121:J121"/>
    <mergeCell ref="I126:J126"/>
    <mergeCell ref="L126:M126"/>
    <mergeCell ref="V108:Y108"/>
    <mergeCell ref="N108:P108"/>
    <mergeCell ref="Q131:R131"/>
    <mergeCell ref="H106:I106"/>
    <mergeCell ref="L106:N106"/>
    <mergeCell ref="S108:T108"/>
    <mergeCell ref="U123:V123"/>
    <mergeCell ref="P126:Q126"/>
    <mergeCell ref="F103:H103"/>
    <mergeCell ref="J103:M103"/>
    <mergeCell ref="J104:M104"/>
    <mergeCell ref="P103:R103"/>
    <mergeCell ref="M98:P98"/>
    <mergeCell ref="M99:P99"/>
    <mergeCell ref="T98:U98"/>
    <mergeCell ref="H35:J35"/>
    <mergeCell ref="M37:O37"/>
    <mergeCell ref="N42:P42"/>
    <mergeCell ref="H69:J69"/>
    <mergeCell ref="I89:K89"/>
    <mergeCell ref="J94:K94"/>
    <mergeCell ref="M28:P28"/>
    <mergeCell ref="D17:E17"/>
    <mergeCell ref="J16:K16"/>
    <mergeCell ref="D11:F11"/>
    <mergeCell ref="J11:M11"/>
    <mergeCell ref="D6:F6"/>
    <mergeCell ref="I22:K22"/>
    <mergeCell ref="J28:K28"/>
    <mergeCell ref="D16:E16"/>
    <mergeCell ref="D7:F7"/>
    <mergeCell ref="D8:F8"/>
    <mergeCell ref="D9:F9"/>
    <mergeCell ref="J17:K17"/>
    <mergeCell ref="F37:G37"/>
    <mergeCell ref="I37:K37"/>
    <mergeCell ref="F45:G45"/>
    <mergeCell ref="J44:K44"/>
    <mergeCell ref="J38:L38"/>
    <mergeCell ref="F40:H40"/>
    <mergeCell ref="J42:L42"/>
    <mergeCell ref="H87:J87"/>
    <mergeCell ref="E84:F84"/>
    <mergeCell ref="H49:I49"/>
    <mergeCell ref="I59:K59"/>
    <mergeCell ref="E75:G75"/>
    <mergeCell ref="E80:F80"/>
    <mergeCell ref="H64:J64"/>
    <mergeCell ref="W30:X30"/>
    <mergeCell ref="N73:R73"/>
    <mergeCell ref="T72:V72"/>
    <mergeCell ref="K82:L82"/>
    <mergeCell ref="N59:P59"/>
    <mergeCell ref="M49:P49"/>
    <mergeCell ref="N72:R72"/>
    <mergeCell ref="L66:N66"/>
    <mergeCell ref="S42:U42"/>
    <mergeCell ref="S37:U37"/>
  </mergeCells>
  <printOptions/>
  <pageMargins left="0.5905511811023623" right="0.5905511811023623" top="0.7874015748031497" bottom="0.7874015748031497" header="0" footer="0"/>
  <pageSetup horizontalDpi="300" verticalDpi="300" orientation="portrait" r:id="rId7"/>
  <headerFooter alignWithMargins="0">
    <oddHeader>&amp;C
&amp;"Arial,Negrita"Diseño de Zapata Cuadrada&amp;R
</oddHeader>
    <oddFooter>&amp;CPágina &amp;P de &amp;N</oddFooter>
  </headerFooter>
  <drawing r:id="rId6"/>
  <legacyDrawing r:id="rId5"/>
  <oleObjects>
    <oleObject progId="AutoCAD.Drawing.15" shapeId="337919" r:id="rId2"/>
    <oleObject progId="AutoCAD.Drawing.15" shapeId="869318" r:id="rId3"/>
    <oleObject progId="AutoCAD.Drawing.15" shapeId="52611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Acer End User</cp:lastModifiedBy>
  <cp:lastPrinted>2003-10-20T19:22:41Z</cp:lastPrinted>
  <dcterms:created xsi:type="dcterms:W3CDTF">2003-10-06T18:28:51Z</dcterms:created>
  <dcterms:modified xsi:type="dcterms:W3CDTF">2003-10-20T20:41:25Z</dcterms:modified>
  <cp:category/>
  <cp:version/>
  <cp:contentType/>
  <cp:contentStatus/>
</cp:coreProperties>
</file>